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675" activeTab="0"/>
  </bookViews>
  <sheets>
    <sheet name="Tabelle2" sheetId="1" r:id="rId1"/>
    <sheet name="Tabelle3" sheetId="2" r:id="rId2"/>
  </sheets>
  <definedNames>
    <definedName name="_xlnm.Print_Area" localSheetId="0">'Tabelle2'!$A$1:$J$73</definedName>
  </definedNames>
  <calcPr fullCalcOnLoad="1"/>
</workbook>
</file>

<file path=xl/sharedStrings.xml><?xml version="1.0" encoding="utf-8"?>
<sst xmlns="http://schemas.openxmlformats.org/spreadsheetml/2006/main" count="82" uniqueCount="65">
  <si>
    <t>Gerade</t>
  </si>
  <si>
    <t>Gerade ohne Arbeitsfläche</t>
  </si>
  <si>
    <t>Ecke</t>
  </si>
  <si>
    <t>Ecke gegen aussen</t>
  </si>
  <si>
    <t>Turnverein Bauma</t>
  </si>
  <si>
    <t>Bar - Vermietung</t>
  </si>
  <si>
    <t>Bezeichnung</t>
  </si>
  <si>
    <t>Hocker</t>
  </si>
  <si>
    <t>Tische Rund</t>
  </si>
  <si>
    <t>benötigte 
Anzahl</t>
  </si>
  <si>
    <t>Element
Nummer</t>
  </si>
  <si>
    <t>Grösse
in cm</t>
  </si>
  <si>
    <t>max.
verfügbar</t>
  </si>
  <si>
    <t>Seiten Beine</t>
  </si>
  <si>
    <t>in wie vielen Abschnitten wird die Bar aufgebaut</t>
  </si>
  <si>
    <t>gesamte Länge der geraden Teile</t>
  </si>
  <si>
    <t>Kosten Barelemente</t>
  </si>
  <si>
    <t>Mieter</t>
  </si>
  <si>
    <t>Name:</t>
  </si>
  <si>
    <t>Vorname:</t>
  </si>
  <si>
    <t>Adresse:</t>
  </si>
  <si>
    <t>Ort:</t>
  </si>
  <si>
    <t>E-Mail:</t>
  </si>
  <si>
    <t>Telefon:</t>
  </si>
  <si>
    <t>Baumer Dorfverein</t>
  </si>
  <si>
    <t>Turnverein</t>
  </si>
  <si>
    <t>Veranstalter:</t>
  </si>
  <si>
    <t>Ja / Nein</t>
  </si>
  <si>
    <t>Fr.</t>
  </si>
  <si>
    <t>45°</t>
  </si>
  <si>
    <t>30°</t>
  </si>
  <si>
    <t>90°</t>
  </si>
  <si>
    <t xml:space="preserve">Länge
in m </t>
  </si>
  <si>
    <t>Gläser</t>
  </si>
  <si>
    <t>Longdrink</t>
  </si>
  <si>
    <t>Cocktail</t>
  </si>
  <si>
    <t>Schnaps</t>
  </si>
  <si>
    <t>Aperitif</t>
  </si>
  <si>
    <t>Bowle</t>
  </si>
  <si>
    <t>Glas Nr.</t>
  </si>
  <si>
    <t>Glasbruch
à 3.--</t>
  </si>
  <si>
    <t>Datum</t>
  </si>
  <si>
    <t>bis</t>
  </si>
  <si>
    <t>von</t>
  </si>
  <si>
    <t>Berechnungen für Längenpreis</t>
  </si>
  <si>
    <t xml:space="preserve">Rabatte </t>
  </si>
  <si>
    <t>Dorfverein</t>
  </si>
  <si>
    <t>Turnerrabatt</t>
  </si>
  <si>
    <t>Berechnungen für Rabatte</t>
  </si>
  <si>
    <t>Bar</t>
  </si>
  <si>
    <t>Total Bar</t>
  </si>
  <si>
    <t>Betrag dankend erhalten</t>
  </si>
  <si>
    <t>Rechnungsbetrag</t>
  </si>
  <si>
    <t>Betrag wird mit Einzahlungsschein an den TV Bauma überwiesen</t>
  </si>
  <si>
    <t>TV Bauma, am</t>
  </si>
  <si>
    <t>Total Glasbruch</t>
  </si>
  <si>
    <t>Bemerkungen</t>
  </si>
  <si>
    <t>bar@tvbauma.ch</t>
  </si>
  <si>
    <t xml:space="preserve">Whiskey </t>
  </si>
  <si>
    <t>(Box à 30 Stück)</t>
  </si>
  <si>
    <t>(Box à 25 Stück)</t>
  </si>
  <si>
    <t>(Box à 35 Stück)</t>
  </si>
  <si>
    <t>(Box à 40 Stück)</t>
  </si>
  <si>
    <t>(Box à 28 Stück)</t>
  </si>
  <si>
    <t>(Box à 20 Stück)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</si>
</sst>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SFr.&quot;\ #,##0.00"/>
    <numFmt numFmtId="175" formatCode="[$-807]dddd\,\ d\.\ mmmm\ yyyy"/>
    <numFmt numFmtId="176" formatCode="#,##0_ ;\-#,##0\ "/>
    <numFmt numFmtId="177" formatCode="d/m/yy;@"/>
    <numFmt numFmtId="178" formatCode="0_ ;[Red]\-0\ "/>
  </numFmts>
  <fonts count="55">
    <font>
      <sz val="10"/>
      <name val="Arial"/>
      <family val="0"/>
    </font>
    <font>
      <sz val="8"/>
      <name val="Arial"/>
      <family val="0"/>
    </font>
    <font>
      <sz val="30"/>
      <name val="Tahoma"/>
      <family val="2"/>
    </font>
    <font>
      <sz val="15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5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b/>
      <sz val="13"/>
      <name val="Arial"/>
      <family val="2"/>
    </font>
    <font>
      <sz val="14"/>
      <color indexed="10"/>
      <name val="Arial"/>
      <family val="2"/>
    </font>
    <font>
      <u val="single"/>
      <sz val="18"/>
      <name val="Arial"/>
      <family val="0"/>
    </font>
    <font>
      <b/>
      <u val="single"/>
      <sz val="15"/>
      <name val="Arial"/>
      <family val="2"/>
    </font>
    <font>
      <b/>
      <u val="single"/>
      <sz val="20"/>
      <name val="Arial"/>
      <family val="2"/>
    </font>
    <font>
      <sz val="18"/>
      <name val="Tahoma"/>
      <family val="2"/>
    </font>
    <font>
      <b/>
      <sz val="25"/>
      <name val="Arial"/>
      <family val="2"/>
    </font>
    <font>
      <b/>
      <u val="single"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Dashed"/>
      <right>
        <color indexed="63"/>
      </right>
      <top style="hair"/>
      <bottom style="hair"/>
    </border>
    <border>
      <left>
        <color indexed="63"/>
      </left>
      <right style="mediumDashed"/>
      <top style="hair"/>
      <bottom style="hair"/>
    </border>
    <border>
      <left style="mediumDashed"/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 style="mediumDashed"/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Dashed"/>
      <top>
        <color indexed="63"/>
      </top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4" fillId="0" borderId="18" xfId="0" applyNumberFormat="1" applyFont="1" applyBorder="1" applyAlignment="1" applyProtection="1">
      <alignment horizontal="right"/>
      <protection/>
    </xf>
    <xf numFmtId="1" fontId="4" fillId="0" borderId="19" xfId="0" applyNumberFormat="1" applyFon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49" fontId="4" fillId="33" borderId="13" xfId="0" applyNumberFormat="1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1" fontId="4" fillId="33" borderId="18" xfId="0" applyNumberFormat="1" applyFont="1" applyFill="1" applyBorder="1" applyAlignment="1" applyProtection="1">
      <alignment horizontal="center"/>
      <protection locked="0"/>
    </xf>
    <xf numFmtId="1" fontId="4" fillId="33" borderId="19" xfId="0" applyNumberFormat="1" applyFont="1" applyFill="1" applyBorder="1" applyAlignment="1" applyProtection="1">
      <alignment horizontal="center"/>
      <protection locked="0"/>
    </xf>
    <xf numFmtId="1" fontId="4" fillId="33" borderId="20" xfId="0" applyNumberFormat="1" applyFont="1" applyFill="1" applyBorder="1" applyAlignment="1" applyProtection="1">
      <alignment horizont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9" xfId="0" applyNumberFormat="1" applyFont="1" applyFill="1" applyBorder="1" applyAlignment="1" applyProtection="1">
      <alignment/>
      <protection locked="0"/>
    </xf>
    <xf numFmtId="0" fontId="4" fillId="33" borderId="2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4" borderId="2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14" fillId="34" borderId="25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 hidden="1"/>
    </xf>
    <xf numFmtId="0" fontId="3" fillId="34" borderId="27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24" xfId="0" applyFont="1" applyFill="1" applyBorder="1" applyAlignment="1" applyProtection="1">
      <alignment/>
      <protection hidden="1"/>
    </xf>
    <xf numFmtId="0" fontId="3" fillId="34" borderId="21" xfId="0" applyFont="1" applyFill="1" applyBorder="1" applyAlignment="1" applyProtection="1">
      <alignment/>
      <protection hidden="1"/>
    </xf>
    <xf numFmtId="0" fontId="3" fillId="34" borderId="22" xfId="0" applyFont="1" applyFill="1" applyBorder="1" applyAlignment="1" applyProtection="1">
      <alignment/>
      <protection hidden="1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1" fontId="3" fillId="34" borderId="24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" fontId="17" fillId="0" borderId="13" xfId="0" applyNumberFormat="1" applyFont="1" applyBorder="1" applyAlignment="1">
      <alignment/>
    </xf>
    <xf numFmtId="1" fontId="8" fillId="0" borderId="29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78" fontId="4" fillId="0" borderId="13" xfId="0" applyNumberFormat="1" applyFont="1" applyBorder="1" applyAlignment="1">
      <alignment/>
    </xf>
    <xf numFmtId="0" fontId="5" fillId="0" borderId="30" xfId="0" applyFont="1" applyBorder="1" applyAlignment="1">
      <alignment/>
    </xf>
    <xf numFmtId="1" fontId="17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3" xfId="0" applyBorder="1" applyAlignment="1">
      <alignment/>
    </xf>
    <xf numFmtId="0" fontId="17" fillId="0" borderId="23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0" fillId="0" borderId="0" xfId="47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locked="0"/>
    </xf>
    <xf numFmtId="0" fontId="4" fillId="33" borderId="45" xfId="0" applyFont="1" applyFill="1" applyBorder="1" applyAlignment="1" applyProtection="1">
      <alignment horizontal="center"/>
      <protection locked="0"/>
    </xf>
    <xf numFmtId="49" fontId="4" fillId="33" borderId="46" xfId="0" applyNumberFormat="1" applyFont="1" applyFill="1" applyBorder="1" applyAlignment="1" applyProtection="1">
      <alignment horizontal="center"/>
      <protection locked="0"/>
    </xf>
    <xf numFmtId="49" fontId="4" fillId="33" borderId="47" xfId="0" applyNumberFormat="1" applyFont="1" applyFill="1" applyBorder="1" applyAlignment="1" applyProtection="1">
      <alignment horizontal="center"/>
      <protection locked="0"/>
    </xf>
    <xf numFmtId="0" fontId="4" fillId="33" borderId="46" xfId="0" applyNumberFormat="1" applyFont="1" applyFill="1" applyBorder="1" applyAlignment="1" applyProtection="1">
      <alignment horizontal="center"/>
      <protection locked="0"/>
    </xf>
    <xf numFmtId="0" fontId="4" fillId="33" borderId="47" xfId="0" applyNumberFormat="1" applyFont="1" applyFill="1" applyBorder="1" applyAlignment="1" applyProtection="1">
      <alignment horizontal="center"/>
      <protection locked="0"/>
    </xf>
    <xf numFmtId="0" fontId="4" fillId="33" borderId="46" xfId="0" applyFont="1" applyFill="1" applyBorder="1" applyAlignment="1" applyProtection="1">
      <alignment horizontal="center"/>
      <protection locked="0"/>
    </xf>
    <xf numFmtId="0" fontId="4" fillId="33" borderId="47" xfId="0" applyFont="1" applyFill="1" applyBorder="1" applyAlignment="1" applyProtection="1">
      <alignment horizontal="center"/>
      <protection locked="0"/>
    </xf>
    <xf numFmtId="49" fontId="4" fillId="33" borderId="48" xfId="0" applyNumberFormat="1" applyFont="1" applyFill="1" applyBorder="1" applyAlignment="1" applyProtection="1">
      <alignment horizontal="center"/>
      <protection locked="0"/>
    </xf>
    <xf numFmtId="49" fontId="4" fillId="33" borderId="49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152400</xdr:rowOff>
    </xdr:from>
    <xdr:to>
      <xdr:col>1</xdr:col>
      <xdr:colOff>1581150</xdr:colOff>
      <xdr:row>8</xdr:row>
      <xdr:rowOff>38100</xdr:rowOff>
    </xdr:to>
    <xdr:pic>
      <xdr:nvPicPr>
        <xdr:cNvPr id="1" name="Picture 1" descr="TV Aktiv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6478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32</xdr:row>
      <xdr:rowOff>47625</xdr:rowOff>
    </xdr:from>
    <xdr:to>
      <xdr:col>7</xdr:col>
      <xdr:colOff>438150</xdr:colOff>
      <xdr:row>32</xdr:row>
      <xdr:rowOff>266700</xdr:rowOff>
    </xdr:to>
    <xdr:sp>
      <xdr:nvSpPr>
        <xdr:cNvPr id="2" name="AutoShape 10"/>
        <xdr:cNvSpPr>
          <a:spLocks/>
        </xdr:cNvSpPr>
      </xdr:nvSpPr>
      <xdr:spPr>
        <a:xfrm>
          <a:off x="9020175" y="7486650"/>
          <a:ext cx="228600" cy="219075"/>
        </a:xfrm>
        <a:prstGeom prst="rightArrow">
          <a:avLst>
            <a:gd name="adj1" fmla="val 11703"/>
            <a:gd name="adj2" fmla="val -15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68</xdr:row>
      <xdr:rowOff>66675</xdr:rowOff>
    </xdr:from>
    <xdr:to>
      <xdr:col>0</xdr:col>
      <xdr:colOff>942975</xdr:colOff>
      <xdr:row>68</xdr:row>
      <xdr:rowOff>314325</xdr:rowOff>
    </xdr:to>
    <xdr:sp>
      <xdr:nvSpPr>
        <xdr:cNvPr id="3" name="Rectangle 13"/>
        <xdr:cNvSpPr>
          <a:spLocks/>
        </xdr:cNvSpPr>
      </xdr:nvSpPr>
      <xdr:spPr>
        <a:xfrm>
          <a:off x="647700" y="17764125"/>
          <a:ext cx="295275" cy="247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72</xdr:row>
      <xdr:rowOff>0</xdr:rowOff>
    </xdr:from>
    <xdr:to>
      <xdr:col>0</xdr:col>
      <xdr:colOff>942975</xdr:colOff>
      <xdr:row>72</xdr:row>
      <xdr:rowOff>247650</xdr:rowOff>
    </xdr:to>
    <xdr:sp>
      <xdr:nvSpPr>
        <xdr:cNvPr id="4" name="Rectangle 14"/>
        <xdr:cNvSpPr>
          <a:spLocks/>
        </xdr:cNvSpPr>
      </xdr:nvSpPr>
      <xdr:spPr>
        <a:xfrm>
          <a:off x="647700" y="18697575"/>
          <a:ext cx="295275" cy="247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9</xdr:col>
      <xdr:colOff>800100</xdr:colOff>
      <xdr:row>17</xdr:row>
      <xdr:rowOff>85725</xdr:rowOff>
    </xdr:to>
    <xdr:sp>
      <xdr:nvSpPr>
        <xdr:cNvPr id="5" name="Line 15"/>
        <xdr:cNvSpPr>
          <a:spLocks/>
        </xdr:cNvSpPr>
      </xdr:nvSpPr>
      <xdr:spPr>
        <a:xfrm flipV="1">
          <a:off x="0" y="4705350"/>
          <a:ext cx="10563225" cy="9525"/>
        </a:xfrm>
        <a:prstGeom prst="line">
          <a:avLst/>
        </a:prstGeom>
        <a:noFill/>
        <a:ln w="381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104775</xdr:rowOff>
    </xdr:from>
    <xdr:to>
      <xdr:col>9</xdr:col>
      <xdr:colOff>800100</xdr:colOff>
      <xdr:row>51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9525" y="12954000"/>
          <a:ext cx="10553700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85725</xdr:rowOff>
    </xdr:from>
    <xdr:to>
      <xdr:col>9</xdr:col>
      <xdr:colOff>790575</xdr:colOff>
      <xdr:row>63</xdr:row>
      <xdr:rowOff>85725</xdr:rowOff>
    </xdr:to>
    <xdr:sp>
      <xdr:nvSpPr>
        <xdr:cNvPr id="7" name="Line 17"/>
        <xdr:cNvSpPr>
          <a:spLocks/>
        </xdr:cNvSpPr>
      </xdr:nvSpPr>
      <xdr:spPr>
        <a:xfrm>
          <a:off x="0" y="16497300"/>
          <a:ext cx="10553700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@tvbauma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73"/>
  <sheetViews>
    <sheetView showGridLines="0" showZeros="0" tabSelected="1" view="pageBreakPreview" zoomScale="75" zoomScaleSheetLayoutView="75" zoomScalePageLayoutView="0" workbookViewId="0" topLeftCell="A49">
      <selection activeCell="F57" sqref="F57"/>
    </sheetView>
  </sheetViews>
  <sheetFormatPr defaultColWidth="11.421875" defaultRowHeight="12.75"/>
  <cols>
    <col min="1" max="1" width="15.7109375" style="0" customWidth="1"/>
    <col min="2" max="2" width="42.7109375" style="0" customWidth="1"/>
    <col min="3" max="3" width="13.28125" style="0" customWidth="1"/>
    <col min="4" max="4" width="15.140625" style="0" customWidth="1"/>
    <col min="5" max="5" width="14.00390625" style="0" customWidth="1"/>
    <col min="6" max="6" width="16.421875" style="0" customWidth="1"/>
    <col min="7" max="7" width="14.8515625" style="0" customWidth="1"/>
    <col min="8" max="8" width="8.28125" style="0" customWidth="1"/>
    <col min="9" max="9" width="6.00390625" style="0" customWidth="1"/>
    <col min="10" max="10" width="12.28125" style="0" customWidth="1"/>
  </cols>
  <sheetData>
    <row r="4" spans="2:10" ht="36.75">
      <c r="B4" s="139" t="s">
        <v>4</v>
      </c>
      <c r="C4" s="139"/>
      <c r="D4" s="139"/>
      <c r="E4" s="139"/>
      <c r="F4" s="139"/>
      <c r="G4" s="139"/>
      <c r="H4" s="139"/>
      <c r="I4" s="139"/>
      <c r="J4" s="139"/>
    </row>
    <row r="6" ht="23.25">
      <c r="D6" s="24" t="s">
        <v>5</v>
      </c>
    </row>
    <row r="8" ht="23.25">
      <c r="D8" s="136" t="s">
        <v>57</v>
      </c>
    </row>
    <row r="10" spans="2:8" s="2" customFormat="1" ht="33" customHeight="1" thickBot="1">
      <c r="B10" s="118" t="s">
        <v>17</v>
      </c>
      <c r="F10" s="26" t="str">
        <f>IF(F11&lt;" ","Bitte ausfüllen"," ")</f>
        <v>Bitte ausfüllen</v>
      </c>
      <c r="G10" s="119" t="s">
        <v>41</v>
      </c>
      <c r="H10" s="25"/>
    </row>
    <row r="11" spans="1:9" s="2" customFormat="1" ht="24.75" thickBot="1" thickTop="1">
      <c r="A11" s="27" t="s">
        <v>26</v>
      </c>
      <c r="B11" s="142"/>
      <c r="C11" s="143"/>
      <c r="E11" s="29" t="s">
        <v>43</v>
      </c>
      <c r="F11" s="60"/>
      <c r="G11" s="28" t="s">
        <v>42</v>
      </c>
      <c r="H11" s="146"/>
      <c r="I11" s="147"/>
    </row>
    <row r="12" spans="1:4" s="2" customFormat="1" ht="24" thickTop="1">
      <c r="A12" s="27" t="s">
        <v>18</v>
      </c>
      <c r="B12" s="144"/>
      <c r="C12" s="145"/>
      <c r="D12" s="26" t="str">
        <f aca="true" t="shared" si="0" ref="D12:D17">IF(B12&lt;" ","Bitte ausfüllen"," ")</f>
        <v>Bitte ausfüllen</v>
      </c>
    </row>
    <row r="13" spans="1:8" s="2" customFormat="1" ht="24" thickBot="1">
      <c r="A13" s="27" t="s">
        <v>19</v>
      </c>
      <c r="B13" s="144"/>
      <c r="C13" s="145"/>
      <c r="D13" s="26" t="str">
        <f t="shared" si="0"/>
        <v>Bitte ausfüllen</v>
      </c>
      <c r="H13" s="25" t="s">
        <v>27</v>
      </c>
    </row>
    <row r="14" spans="1:9" s="2" customFormat="1" ht="24.75" thickBot="1" thickTop="1">
      <c r="A14" s="27" t="s">
        <v>20</v>
      </c>
      <c r="B14" s="144"/>
      <c r="C14" s="145"/>
      <c r="D14" s="26" t="str">
        <f t="shared" si="0"/>
        <v>Bitte ausfüllen</v>
      </c>
      <c r="F14" s="2" t="s">
        <v>24</v>
      </c>
      <c r="H14" s="148"/>
      <c r="I14" s="149"/>
    </row>
    <row r="15" spans="1:4" s="2" customFormat="1" ht="24.75" thickBot="1" thickTop="1">
      <c r="A15" s="27" t="s">
        <v>21</v>
      </c>
      <c r="B15" s="144"/>
      <c r="C15" s="145"/>
      <c r="D15" s="26" t="str">
        <f t="shared" si="0"/>
        <v>Bitte ausfüllen</v>
      </c>
    </row>
    <row r="16" spans="1:9" s="2" customFormat="1" ht="24.75" thickBot="1" thickTop="1">
      <c r="A16" s="27" t="s">
        <v>22</v>
      </c>
      <c r="B16" s="144"/>
      <c r="C16" s="145"/>
      <c r="D16" s="26" t="str">
        <f t="shared" si="0"/>
        <v>Bitte ausfüllen</v>
      </c>
      <c r="F16" s="2" t="s">
        <v>25</v>
      </c>
      <c r="H16" s="150"/>
      <c r="I16" s="151"/>
    </row>
    <row r="17" spans="1:4" s="2" customFormat="1" ht="24.75" thickBot="1" thickTop="1">
      <c r="A17" s="27" t="s">
        <v>23</v>
      </c>
      <c r="B17" s="152"/>
      <c r="C17" s="153"/>
      <c r="D17" s="26" t="str">
        <f t="shared" si="0"/>
        <v>Bitte ausfüllen</v>
      </c>
    </row>
    <row r="18" spans="7:10" ht="12.75">
      <c r="G18" s="58"/>
      <c r="H18" s="58"/>
      <c r="I18" s="58"/>
      <c r="J18" s="58"/>
    </row>
    <row r="19" spans="1:10" s="69" customFormat="1" ht="19.5" hidden="1">
      <c r="A19" s="78" t="s">
        <v>44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s="69" customFormat="1" ht="18.75" hidden="1">
      <c r="A20" s="82">
        <f>IF(G33&lt;5,100,B20)</f>
        <v>100</v>
      </c>
      <c r="B20" s="83">
        <f>IF(G33&lt;7.6,130,C20)</f>
        <v>130</v>
      </c>
      <c r="C20" s="83">
        <f>IF(G33&lt;10,150,D20)</f>
        <v>150</v>
      </c>
      <c r="D20" s="83">
        <f>IF(G33&lt;12.5,200,E20)</f>
        <v>200</v>
      </c>
      <c r="E20" s="83">
        <f>IF(G33&lt;15,300,F20)</f>
        <v>300</v>
      </c>
      <c r="F20" s="83">
        <f>IF(G33&lt;17.5,400,G20)</f>
        <v>400</v>
      </c>
      <c r="G20" s="83">
        <f>IF(G33&lt;20,500,H20)</f>
        <v>500</v>
      </c>
      <c r="H20" s="84">
        <f>IF(G33&lt;30,600," ")</f>
        <v>600</v>
      </c>
      <c r="I20" s="76"/>
      <c r="J20" s="77"/>
    </row>
    <row r="21" spans="1:10" s="69" customFormat="1" ht="18.75" hidden="1">
      <c r="A21" s="85"/>
      <c r="B21" s="86"/>
      <c r="C21" s="86"/>
      <c r="D21" s="86"/>
      <c r="E21" s="86"/>
      <c r="F21" s="86"/>
      <c r="G21" s="86"/>
      <c r="H21" s="87"/>
      <c r="I21" s="72"/>
      <c r="J21" s="72"/>
    </row>
    <row r="22" spans="1:10" s="69" customFormat="1" ht="19.5" hidden="1">
      <c r="A22" s="81" t="s">
        <v>45</v>
      </c>
      <c r="B22" s="88"/>
      <c r="C22" s="86"/>
      <c r="D22" s="89" t="s">
        <v>48</v>
      </c>
      <c r="E22" s="90"/>
      <c r="F22" s="90"/>
      <c r="G22" s="88"/>
      <c r="H22" s="87"/>
      <c r="I22" s="72"/>
      <c r="J22" s="72"/>
    </row>
    <row r="23" spans="1:10" s="69" customFormat="1" ht="18.75" hidden="1">
      <c r="A23" s="73" t="s">
        <v>46</v>
      </c>
      <c r="B23" s="91">
        <v>15</v>
      </c>
      <c r="C23" s="72"/>
      <c r="D23" s="94" t="str">
        <f>IF(J46&gt;600,600/100*B23,E23)</f>
        <v> </v>
      </c>
      <c r="E23" s="92" t="str">
        <f>IF(H14="Ja",J46/100*B23," ")</f>
        <v> </v>
      </c>
      <c r="F23" s="74">
        <f>IF(J46&gt;600,J48,J46)</f>
        <v>0</v>
      </c>
      <c r="G23" s="100">
        <f>IF(H14="Ja",J49,0)</f>
        <v>0</v>
      </c>
      <c r="H23" s="72"/>
      <c r="I23" s="72"/>
      <c r="J23" s="72"/>
    </row>
    <row r="24" spans="1:10" s="69" customFormat="1" ht="18.75" hidden="1">
      <c r="A24" s="75" t="s">
        <v>47</v>
      </c>
      <c r="B24" s="93">
        <v>10</v>
      </c>
      <c r="C24" s="72"/>
      <c r="D24" s="95" t="str">
        <f>IF(J46&gt;600,600/100*B24,E24)</f>
        <v> </v>
      </c>
      <c r="E24" s="84" t="str">
        <f>IF(H16="Ja",J46/100*B24," ")</f>
        <v> </v>
      </c>
      <c r="F24" s="76"/>
      <c r="G24" s="99">
        <f>IF(H16="Ja",J50,0)</f>
        <v>0</v>
      </c>
      <c r="H24" s="72"/>
      <c r="I24" s="72"/>
      <c r="J24" s="72"/>
    </row>
    <row r="25" spans="1:9" ht="33.75" customHeight="1" thickBot="1">
      <c r="A25" s="115" t="s">
        <v>49</v>
      </c>
      <c r="B25" s="96"/>
      <c r="G25" s="58"/>
      <c r="H25" s="58"/>
      <c r="I25" s="58"/>
    </row>
    <row r="26" spans="1:9" ht="45.75" customHeight="1" thickTop="1">
      <c r="A26" s="5" t="s">
        <v>10</v>
      </c>
      <c r="B26" s="140" t="s">
        <v>6</v>
      </c>
      <c r="C26" s="141"/>
      <c r="D26" s="5" t="s">
        <v>11</v>
      </c>
      <c r="E26" s="6" t="s">
        <v>12</v>
      </c>
      <c r="F26" s="33" t="s">
        <v>9</v>
      </c>
      <c r="G26" s="32" t="s">
        <v>32</v>
      </c>
      <c r="H26" s="31"/>
      <c r="I26" s="58"/>
    </row>
    <row r="27" spans="1:9" ht="23.25">
      <c r="A27" s="4">
        <v>1</v>
      </c>
      <c r="B27" s="19" t="s">
        <v>0</v>
      </c>
      <c r="C27" s="21"/>
      <c r="D27" s="4">
        <v>80</v>
      </c>
      <c r="E27" s="7">
        <v>3</v>
      </c>
      <c r="F27" s="61"/>
      <c r="G27" s="43">
        <f>D27*F27/100</f>
        <v>0</v>
      </c>
      <c r="H27" s="22" t="str">
        <f>IF(F27&gt;E27,"max. 3"," ")</f>
        <v> </v>
      </c>
      <c r="I27" s="2"/>
    </row>
    <row r="28" spans="1:9" ht="23.25">
      <c r="A28" s="4">
        <v>2</v>
      </c>
      <c r="B28" s="19" t="s">
        <v>0</v>
      </c>
      <c r="C28" s="21"/>
      <c r="D28" s="4">
        <v>120</v>
      </c>
      <c r="E28" s="7">
        <v>6</v>
      </c>
      <c r="F28" s="61"/>
      <c r="G28" s="43">
        <f>D28*F28/100</f>
        <v>0</v>
      </c>
      <c r="H28" s="22" t="str">
        <f>IF(F28&gt;E28,"max. 6"," ")</f>
        <v> </v>
      </c>
      <c r="I28" s="2"/>
    </row>
    <row r="29" spans="1:9" ht="23.25">
      <c r="A29" s="4">
        <v>3</v>
      </c>
      <c r="B29" s="19" t="s">
        <v>0</v>
      </c>
      <c r="C29" s="21"/>
      <c r="D29" s="4">
        <v>160</v>
      </c>
      <c r="E29" s="7">
        <v>4</v>
      </c>
      <c r="F29" s="61"/>
      <c r="G29" s="43">
        <f>D29*F29/100</f>
        <v>0</v>
      </c>
      <c r="H29" s="22" t="str">
        <f>IF(F29&gt;E29,"max. 4"," ")</f>
        <v> </v>
      </c>
      <c r="I29" s="2"/>
    </row>
    <row r="30" spans="1:9" ht="23.25">
      <c r="A30" s="4">
        <v>4</v>
      </c>
      <c r="B30" s="19" t="s">
        <v>1</v>
      </c>
      <c r="C30" s="21"/>
      <c r="D30" s="4">
        <v>160</v>
      </c>
      <c r="E30" s="7">
        <v>2</v>
      </c>
      <c r="F30" s="61"/>
      <c r="G30" s="43">
        <f>D30*F30/100</f>
        <v>0</v>
      </c>
      <c r="H30" s="22" t="str">
        <f>IF(F30&gt;E30,"max. 2"," ")</f>
        <v> </v>
      </c>
      <c r="I30" s="2"/>
    </row>
    <row r="31" spans="1:9" ht="24" thickBot="1">
      <c r="A31" s="4">
        <v>5</v>
      </c>
      <c r="B31" s="19" t="s">
        <v>1</v>
      </c>
      <c r="C31" s="21"/>
      <c r="D31" s="4">
        <v>200</v>
      </c>
      <c r="E31" s="7">
        <v>4</v>
      </c>
      <c r="F31" s="62"/>
      <c r="G31" s="43">
        <f>D31*F31/100</f>
        <v>0</v>
      </c>
      <c r="H31" s="22" t="str">
        <f>IF(F31&gt;E31,"max. 4"," ")</f>
        <v> </v>
      </c>
      <c r="I31" s="2"/>
    </row>
    <row r="32" spans="1:9" ht="12" customHeight="1" thickBot="1" thickTop="1">
      <c r="A32" s="9"/>
      <c r="B32" s="3"/>
      <c r="C32" s="3"/>
      <c r="D32" s="9"/>
      <c r="E32" s="7"/>
      <c r="F32" s="9"/>
      <c r="G32" s="3"/>
      <c r="H32" s="3"/>
      <c r="I32" s="2"/>
    </row>
    <row r="33" spans="1:10" ht="24.75" thickBot="1" thickTop="1">
      <c r="A33" s="9"/>
      <c r="C33" s="10" t="s">
        <v>15</v>
      </c>
      <c r="D33" s="11"/>
      <c r="E33" s="20"/>
      <c r="F33" s="41"/>
      <c r="G33" s="42">
        <f>SUM(G27:G31)</f>
        <v>0</v>
      </c>
      <c r="H33" s="3"/>
      <c r="I33" s="2" t="s">
        <v>28</v>
      </c>
      <c r="J33" s="12">
        <f>IF(G33&lt;0.5,0,A20)</f>
        <v>0</v>
      </c>
    </row>
    <row r="34" spans="1:10" ht="13.5" customHeight="1" thickBot="1">
      <c r="A34" s="9"/>
      <c r="B34" s="3"/>
      <c r="C34" s="3"/>
      <c r="D34" s="9"/>
      <c r="E34" s="7"/>
      <c r="F34" s="9"/>
      <c r="G34" s="3"/>
      <c r="H34" s="3"/>
      <c r="I34" s="2"/>
      <c r="J34" s="58"/>
    </row>
    <row r="35" spans="1:10" ht="24" thickTop="1">
      <c r="A35" s="4">
        <v>6</v>
      </c>
      <c r="B35" s="19" t="s">
        <v>2</v>
      </c>
      <c r="C35" s="21"/>
      <c r="D35" s="4" t="s">
        <v>30</v>
      </c>
      <c r="E35" s="8">
        <v>1</v>
      </c>
      <c r="F35" s="63"/>
      <c r="G35" s="71" t="str">
        <f>IF(F35&gt;E35,"max. 1"," ")</f>
        <v> </v>
      </c>
      <c r="H35" s="59"/>
      <c r="I35" s="2" t="s">
        <v>28</v>
      </c>
      <c r="J35" s="37">
        <f aca="true" t="shared" si="1" ref="J35:J40">10*F35</f>
        <v>0</v>
      </c>
    </row>
    <row r="36" spans="1:10" ht="23.25">
      <c r="A36" s="4">
        <v>7</v>
      </c>
      <c r="B36" s="19" t="s">
        <v>2</v>
      </c>
      <c r="C36" s="21"/>
      <c r="D36" s="4" t="s">
        <v>29</v>
      </c>
      <c r="E36" s="8">
        <v>2</v>
      </c>
      <c r="F36" s="64"/>
      <c r="G36" s="70" t="str">
        <f>IF(F36&gt;E36,"max. 2"," ")</f>
        <v> </v>
      </c>
      <c r="H36" s="59"/>
      <c r="I36" s="2" t="s">
        <v>28</v>
      </c>
      <c r="J36" s="38">
        <f t="shared" si="1"/>
        <v>0</v>
      </c>
    </row>
    <row r="37" spans="1:10" ht="23.25">
      <c r="A37" s="4">
        <v>8</v>
      </c>
      <c r="B37" s="19" t="s">
        <v>3</v>
      </c>
      <c r="C37" s="21"/>
      <c r="D37" s="4" t="s">
        <v>29</v>
      </c>
      <c r="E37" s="8">
        <v>1</v>
      </c>
      <c r="F37" s="64"/>
      <c r="G37" s="70" t="str">
        <f>IF(F37&gt;E37,"max. 1"," ")</f>
        <v> </v>
      </c>
      <c r="H37" s="59"/>
      <c r="I37" s="2" t="s">
        <v>28</v>
      </c>
      <c r="J37" s="38">
        <f t="shared" si="1"/>
        <v>0</v>
      </c>
    </row>
    <row r="38" spans="1:10" ht="23.25">
      <c r="A38" s="4">
        <v>9</v>
      </c>
      <c r="B38" s="19" t="s">
        <v>2</v>
      </c>
      <c r="C38" s="21"/>
      <c r="D38" s="4" t="s">
        <v>31</v>
      </c>
      <c r="E38" s="8">
        <v>2</v>
      </c>
      <c r="F38" s="64"/>
      <c r="G38" s="70" t="str">
        <f>IF(F38&gt;E38,"max. 2"," ")</f>
        <v> </v>
      </c>
      <c r="H38" s="23"/>
      <c r="I38" s="2" t="s">
        <v>28</v>
      </c>
      <c r="J38" s="38">
        <f t="shared" si="1"/>
        <v>0</v>
      </c>
    </row>
    <row r="39" spans="1:10" ht="23.25">
      <c r="A39" s="4">
        <v>10</v>
      </c>
      <c r="B39" s="19" t="s">
        <v>8</v>
      </c>
      <c r="C39" s="48"/>
      <c r="D39" s="47"/>
      <c r="E39" s="8">
        <v>4</v>
      </c>
      <c r="F39" s="64"/>
      <c r="G39" s="70" t="str">
        <f>IF(F39&gt;E39,"max. 4"," ")</f>
        <v> </v>
      </c>
      <c r="H39" s="23"/>
      <c r="I39" s="2" t="s">
        <v>28</v>
      </c>
      <c r="J39" s="38">
        <f t="shared" si="1"/>
        <v>0</v>
      </c>
    </row>
    <row r="40" spans="1:10" ht="24" thickBot="1">
      <c r="A40" s="4">
        <v>11</v>
      </c>
      <c r="B40" s="19" t="s">
        <v>7</v>
      </c>
      <c r="C40" s="48"/>
      <c r="D40" s="47"/>
      <c r="E40" s="8">
        <v>7</v>
      </c>
      <c r="F40" s="65"/>
      <c r="G40" s="70" t="str">
        <f>IF(F40&gt;E40,"max. 7"," ")</f>
        <v> </v>
      </c>
      <c r="H40" s="23"/>
      <c r="I40" s="2" t="s">
        <v>28</v>
      </c>
      <c r="J40" s="39">
        <f t="shared" si="1"/>
        <v>0</v>
      </c>
    </row>
    <row r="41" spans="6:8" ht="24.75" thickBot="1" thickTop="1">
      <c r="F41" s="1"/>
      <c r="G41" s="23"/>
      <c r="H41" s="23"/>
    </row>
    <row r="42" spans="1:8" ht="24.75" thickBot="1" thickTop="1">
      <c r="A42" s="14">
        <v>12</v>
      </c>
      <c r="B42" s="15" t="s">
        <v>13</v>
      </c>
      <c r="C42" s="36"/>
      <c r="D42" s="17"/>
      <c r="E42" s="18">
        <v>26</v>
      </c>
      <c r="F42" s="34">
        <f>SUM(F27:F31,F35:F38,F44)</f>
        <v>0</v>
      </c>
      <c r="G42" s="71" t="str">
        <f>IF(F42&gt;E42,"max. 26"," ")</f>
        <v> </v>
      </c>
      <c r="H42" s="23"/>
    </row>
    <row r="43" ht="14.25" thickBot="1" thickTop="1">
      <c r="F43" s="1"/>
    </row>
    <row r="44" spans="1:8" ht="24.75" thickBot="1" thickTop="1">
      <c r="A44" s="15" t="s">
        <v>14</v>
      </c>
      <c r="B44" s="16"/>
      <c r="C44" s="16"/>
      <c r="D44" s="17"/>
      <c r="E44" s="137" t="str">
        <f>IF(F44&lt;1,"Bitte ausfüllen","")</f>
        <v>Bitte ausfüllen</v>
      </c>
      <c r="F44" s="66"/>
      <c r="G44" s="40" t="str">
        <f>IF(F42&gt;E42,"Anzahl Abschnitte korrigieren "," ")</f>
        <v> </v>
      </c>
      <c r="H44" s="26"/>
    </row>
    <row r="45" ht="14.25" thickBot="1" thickTop="1"/>
    <row r="46" spans="1:10" ht="24.75" thickBot="1" thickTop="1">
      <c r="A46" s="109" t="s">
        <v>56</v>
      </c>
      <c r="B46" s="133"/>
      <c r="C46" s="134"/>
      <c r="D46" s="135"/>
      <c r="E46" s="58"/>
      <c r="F46" s="58"/>
      <c r="G46" s="35" t="s">
        <v>16</v>
      </c>
      <c r="H46" s="35"/>
      <c r="I46" s="13" t="s">
        <v>28</v>
      </c>
      <c r="J46" s="54">
        <f>SUM(J33,J35:J40)</f>
        <v>0</v>
      </c>
    </row>
    <row r="47" spans="1:10" ht="24" thickTop="1">
      <c r="A47" s="120"/>
      <c r="B47" s="130"/>
      <c r="C47" s="131"/>
      <c r="D47" s="132"/>
      <c r="E47" s="58"/>
      <c r="F47" s="58"/>
      <c r="G47" s="52" t="str">
        <f>IF(J46&gt;600,"Mengenrabatt"," ")</f>
        <v> </v>
      </c>
      <c r="H47" s="35"/>
      <c r="I47" s="13">
        <f>IF(J46&gt;600,"-","")</f>
      </c>
      <c r="J47" s="55" t="str">
        <f>IF(J46&gt;600,J46-600," ")</f>
        <v> </v>
      </c>
    </row>
    <row r="48" spans="1:10" ht="23.25">
      <c r="A48" s="123"/>
      <c r="B48" s="121"/>
      <c r="C48" s="122"/>
      <c r="D48" s="124"/>
      <c r="E48" s="58"/>
      <c r="F48" s="58"/>
      <c r="G48" s="29" t="str">
        <f>IF(J46&gt;600,"Pauschal"," ")</f>
        <v> </v>
      </c>
      <c r="H48" s="35"/>
      <c r="I48" s="13"/>
      <c r="J48" s="56">
        <f>IF(J46&gt;600,J46-J47,"")</f>
      </c>
    </row>
    <row r="49" spans="1:10" ht="23.25">
      <c r="A49" s="123"/>
      <c r="B49" s="121"/>
      <c r="C49" s="122"/>
      <c r="D49" s="125"/>
      <c r="F49" s="58"/>
      <c r="G49" s="29" t="str">
        <f>IF(H14="Ja","Dorfvereinrabatt"," ")</f>
        <v> </v>
      </c>
      <c r="H49" s="35"/>
      <c r="I49" s="13">
        <f>IF(H14="ja","-","")</f>
      </c>
      <c r="J49" s="57" t="str">
        <f>IF(H14="ja",D23," ")</f>
        <v> </v>
      </c>
    </row>
    <row r="50" spans="1:10" ht="24" thickBot="1">
      <c r="A50" s="123"/>
      <c r="B50" s="121"/>
      <c r="C50" s="122"/>
      <c r="D50" s="125"/>
      <c r="F50" s="58"/>
      <c r="G50" s="29" t="str">
        <f>IF(H16="Ja","Turnerrabatt"," ")</f>
        <v> </v>
      </c>
      <c r="H50" s="35"/>
      <c r="I50" s="13">
        <f>IF(H16="ja","-","")</f>
      </c>
      <c r="J50" s="57" t="str">
        <f>IF(H16="ja",D24," ")</f>
        <v> </v>
      </c>
    </row>
    <row r="51" spans="1:10" ht="24.75" thickBot="1" thickTop="1">
      <c r="A51" s="126"/>
      <c r="B51" s="127"/>
      <c r="C51" s="128"/>
      <c r="D51" s="129"/>
      <c r="E51" s="58"/>
      <c r="F51" s="58"/>
      <c r="G51" s="98" t="s">
        <v>50</v>
      </c>
      <c r="H51" s="58"/>
      <c r="I51" s="13" t="s">
        <v>28</v>
      </c>
      <c r="J51" s="101">
        <f>F23-G23-G24</f>
        <v>0</v>
      </c>
    </row>
    <row r="52" spans="3:10" ht="13.5" customHeight="1" thickBot="1" thickTop="1">
      <c r="C52" s="58"/>
      <c r="D52" s="58"/>
      <c r="E52" s="58"/>
      <c r="F52" s="58"/>
      <c r="G52" s="98"/>
      <c r="H52" s="58"/>
      <c r="I52" s="58"/>
      <c r="J52" s="106"/>
    </row>
    <row r="53" spans="1:10" s="2" customFormat="1" ht="31.5" thickBot="1" thickTop="1">
      <c r="A53" s="114" t="s">
        <v>33</v>
      </c>
      <c r="B53" s="97"/>
      <c r="C53" s="30"/>
      <c r="F53" s="13"/>
      <c r="G53" s="29" t="str">
        <f>IF(J53&gt;1,"Pauschalbetrag für Gläser.","")</f>
        <v>Pauschalbetrag für Gläser.</v>
      </c>
      <c r="I53" s="13" t="str">
        <f>IF(J53&gt;1,"Fr.","")</f>
        <v>Fr.</v>
      </c>
      <c r="J53" s="53" t="str">
        <f>IF(SUM(F56:F61)&gt;0,50," ")</f>
        <v> </v>
      </c>
    </row>
    <row r="54" spans="2:10" s="2" customFormat="1" ht="12" customHeight="1" thickBot="1" thickTop="1">
      <c r="B54" s="97"/>
      <c r="C54" s="30"/>
      <c r="F54" s="13"/>
      <c r="G54" s="29"/>
      <c r="I54" s="13"/>
      <c r="J54" s="102"/>
    </row>
    <row r="55" spans="1:7" s="2" customFormat="1" ht="48" thickBot="1" thickTop="1">
      <c r="A55" s="19" t="s">
        <v>39</v>
      </c>
      <c r="B55" s="48"/>
      <c r="C55" s="48"/>
      <c r="D55" s="48"/>
      <c r="E55" s="49" t="s">
        <v>12</v>
      </c>
      <c r="F55" s="33" t="s">
        <v>9</v>
      </c>
      <c r="G55" s="51" t="s">
        <v>40</v>
      </c>
    </row>
    <row r="56" spans="1:10" s="2" customFormat="1" ht="24" thickTop="1">
      <c r="A56" s="14">
        <v>20</v>
      </c>
      <c r="B56" s="48" t="s">
        <v>58</v>
      </c>
      <c r="C56" s="48"/>
      <c r="D56" s="138" t="s">
        <v>59</v>
      </c>
      <c r="E56" s="50">
        <v>2</v>
      </c>
      <c r="F56" s="67"/>
      <c r="G56" s="47"/>
      <c r="J56" s="46">
        <f aca="true" t="shared" si="2" ref="J56:J61">G56*3</f>
        <v>0</v>
      </c>
    </row>
    <row r="57" spans="1:10" s="2" customFormat="1" ht="23.25">
      <c r="A57" s="4">
        <v>21</v>
      </c>
      <c r="B57" s="48" t="s">
        <v>34</v>
      </c>
      <c r="C57" s="48"/>
      <c r="D57" s="138" t="s">
        <v>60</v>
      </c>
      <c r="E57" s="50">
        <v>2</v>
      </c>
      <c r="F57" s="67"/>
      <c r="G57" s="47"/>
      <c r="J57" s="44">
        <f t="shared" si="2"/>
        <v>0</v>
      </c>
    </row>
    <row r="58" spans="1:10" s="2" customFormat="1" ht="23.25">
      <c r="A58" s="14">
        <v>22</v>
      </c>
      <c r="B58" s="48" t="s">
        <v>35</v>
      </c>
      <c r="C58" s="48"/>
      <c r="D58" s="138" t="s">
        <v>61</v>
      </c>
      <c r="E58" s="50">
        <v>1</v>
      </c>
      <c r="F58" s="67">
        <v>0</v>
      </c>
      <c r="G58" s="47"/>
      <c r="J58" s="44">
        <f t="shared" si="2"/>
        <v>0</v>
      </c>
    </row>
    <row r="59" spans="1:10" s="2" customFormat="1" ht="23.25">
      <c r="A59" s="14">
        <v>23</v>
      </c>
      <c r="B59" s="48" t="s">
        <v>36</v>
      </c>
      <c r="C59" s="48"/>
      <c r="D59" s="138" t="s">
        <v>62</v>
      </c>
      <c r="E59" s="50">
        <v>2</v>
      </c>
      <c r="F59" s="67"/>
      <c r="G59" s="47"/>
      <c r="J59" s="44">
        <f t="shared" si="2"/>
        <v>0</v>
      </c>
    </row>
    <row r="60" spans="1:10" s="2" customFormat="1" ht="23.25">
      <c r="A60" s="4">
        <v>24</v>
      </c>
      <c r="B60" s="48" t="s">
        <v>37</v>
      </c>
      <c r="C60" s="48"/>
      <c r="D60" s="138" t="s">
        <v>63</v>
      </c>
      <c r="E60" s="50">
        <v>1</v>
      </c>
      <c r="F60" s="67"/>
      <c r="G60" s="47"/>
      <c r="J60" s="44">
        <f t="shared" si="2"/>
        <v>0</v>
      </c>
    </row>
    <row r="61" spans="1:10" s="2" customFormat="1" ht="24" thickBot="1">
      <c r="A61" s="14">
        <v>25</v>
      </c>
      <c r="B61" s="48" t="s">
        <v>38</v>
      </c>
      <c r="C61" s="48"/>
      <c r="D61" s="138" t="s">
        <v>64</v>
      </c>
      <c r="E61" s="50">
        <v>1</v>
      </c>
      <c r="F61" s="68"/>
      <c r="G61" s="47"/>
      <c r="J61" s="45">
        <f t="shared" si="2"/>
        <v>0</v>
      </c>
    </row>
    <row r="62" spans="1:10" s="2" customFormat="1" ht="9.75" customHeight="1" thickBot="1" thickTop="1">
      <c r="A62" s="13"/>
      <c r="B62" s="3"/>
      <c r="C62" s="3"/>
      <c r="D62" s="3"/>
      <c r="E62" s="9"/>
      <c r="F62" s="107"/>
      <c r="G62" s="9"/>
      <c r="J62" s="3"/>
    </row>
    <row r="63" spans="7:10" ht="24.75" thickBot="1" thickTop="1">
      <c r="G63" s="111" t="s">
        <v>55</v>
      </c>
      <c r="H63" s="2"/>
      <c r="I63" s="2"/>
      <c r="J63" s="108"/>
    </row>
    <row r="64" spans="7:10" ht="12.75" customHeight="1" thickBot="1" thickTop="1">
      <c r="G64" s="2"/>
      <c r="H64" s="2"/>
      <c r="I64" s="2"/>
      <c r="J64" s="102"/>
    </row>
    <row r="65" spans="7:10" ht="32.25" thickBot="1" thickTop="1">
      <c r="G65" s="104" t="s">
        <v>52</v>
      </c>
      <c r="H65" s="2"/>
      <c r="I65" s="13" t="s">
        <v>28</v>
      </c>
      <c r="J65" s="105">
        <f>SUM(J51,J56:J61,J53)</f>
        <v>0</v>
      </c>
    </row>
    <row r="66" spans="7:10" ht="10.5" customHeight="1" thickBot="1" thickTop="1">
      <c r="G66" s="104"/>
      <c r="H66" s="2"/>
      <c r="I66" s="13"/>
      <c r="J66" s="110"/>
    </row>
    <row r="67" spans="5:10" ht="32.25" thickBot="1" thickTop="1">
      <c r="E67" s="112"/>
      <c r="F67" s="112"/>
      <c r="G67" s="113"/>
      <c r="H67" s="116"/>
      <c r="I67" s="13"/>
      <c r="J67" s="105"/>
    </row>
    <row r="68" ht="13.5" thickTop="1"/>
    <row r="69" spans="2:10" ht="25.5" customHeight="1">
      <c r="B69" s="2" t="s">
        <v>51</v>
      </c>
      <c r="E69" s="29" t="s">
        <v>54</v>
      </c>
      <c r="F69" s="112"/>
      <c r="G69" s="112"/>
      <c r="H69" s="112"/>
      <c r="I69" s="117"/>
      <c r="J69" s="117"/>
    </row>
    <row r="71" spans="5:10" s="2" customFormat="1" ht="27.75" customHeight="1">
      <c r="E71" s="29"/>
      <c r="F71" s="116"/>
      <c r="G71" s="116"/>
      <c r="H71" s="116"/>
      <c r="I71" s="3"/>
      <c r="J71" s="3"/>
    </row>
    <row r="73" s="2" customFormat="1" ht="23.25">
      <c r="B73" s="103" t="s">
        <v>53</v>
      </c>
    </row>
  </sheetData>
  <sheetProtection password="CC29" sheet="1" objects="1" scenarios="1" selectLockedCells="1"/>
  <mergeCells count="12">
    <mergeCell ref="B16:C16"/>
    <mergeCell ref="B17:C17"/>
    <mergeCell ref="B4:J4"/>
    <mergeCell ref="B26:C26"/>
    <mergeCell ref="B11:C11"/>
    <mergeCell ref="B12:C12"/>
    <mergeCell ref="B13:C13"/>
    <mergeCell ref="B14:C14"/>
    <mergeCell ref="B15:C15"/>
    <mergeCell ref="H11:I11"/>
    <mergeCell ref="H14:I14"/>
    <mergeCell ref="H16:I16"/>
  </mergeCells>
  <hyperlinks>
    <hyperlink ref="D8" r:id="rId1" display="bar@tvbauma.ch"/>
  </hyperlinks>
  <printOptions/>
  <pageMargins left="0.984251968503937" right="0.5905511811023623" top="0.2755905511811024" bottom="0.3937007874015748" header="0.11811023622047245" footer="0"/>
  <pageSetup fitToHeight="1" fitToWidth="1" horizontalDpi="300" verticalDpi="300" orientation="portrait" paperSize="9" scale="53" r:id="rId3"/>
  <rowBreaks count="1" manualBreakCount="1">
    <brk id="73" max="9" man="1"/>
  </rowBreaks>
  <ignoredErrors>
    <ignoredError sqref="H30 G36:G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 Lansing Fördertechnik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christian.keller</dc:creator>
  <cp:keywords/>
  <dc:description/>
  <cp:lastModifiedBy>Patrick</cp:lastModifiedBy>
  <cp:lastPrinted>2010-02-28T13:14:16Z</cp:lastPrinted>
  <dcterms:created xsi:type="dcterms:W3CDTF">2009-04-18T12:08:53Z</dcterms:created>
  <dcterms:modified xsi:type="dcterms:W3CDTF">2011-01-02T11:39:24Z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